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100"/>
  </bookViews>
  <sheets>
    <sheet name="SUELDO NETO" sheetId="1" r:id="rId1"/>
    <sheet name="ISR MENS 202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24" i="1" l="1"/>
  <c r="E21" i="1"/>
  <c r="D21" i="1"/>
  <c r="E20" i="1"/>
  <c r="D20" i="1"/>
  <c r="E19" i="1"/>
  <c r="D19" i="1"/>
  <c r="E18" i="1"/>
  <c r="D18" i="1"/>
  <c r="C20" i="1"/>
  <c r="AM19" i="1" l="1"/>
  <c r="AO19" i="1" s="1"/>
  <c r="AN19" i="1"/>
  <c r="AM20" i="1"/>
  <c r="AN20" i="1"/>
  <c r="AM21" i="1"/>
  <c r="AN21" i="1"/>
  <c r="AM22" i="1"/>
  <c r="AO22" i="1" s="1"/>
  <c r="AN22" i="1"/>
  <c r="AI22" i="1" s="1"/>
  <c r="AM23" i="1"/>
  <c r="AO23" i="1" s="1"/>
  <c r="AN23" i="1"/>
  <c r="AN18" i="1"/>
  <c r="AM18" i="1"/>
  <c r="AO20" i="1" l="1"/>
  <c r="AI23" i="1"/>
  <c r="AI21" i="1"/>
  <c r="AO21" i="1"/>
  <c r="AO18" i="1"/>
  <c r="AI20" i="1"/>
  <c r="AI19" i="1"/>
  <c r="AI18" i="1"/>
  <c r="C40" i="2"/>
  <c r="C38" i="2"/>
  <c r="C36" i="2"/>
  <c r="C34" i="2"/>
  <c r="AI24" i="1" l="1"/>
  <c r="C35" i="2"/>
  <c r="C37" i="2" l="1"/>
  <c r="C39" i="2" s="1"/>
  <c r="C41" i="2" s="1"/>
  <c r="AJ18" i="1" l="1"/>
  <c r="AJ19" i="1"/>
  <c r="AJ20" i="1"/>
  <c r="AJ21" i="1"/>
  <c r="AJ22" i="1"/>
  <c r="AJ23" i="1"/>
  <c r="G24" i="1" l="1"/>
  <c r="H24" i="1"/>
  <c r="AH24" i="1"/>
  <c r="AJ24" i="1"/>
  <c r="AO24" i="1" l="1"/>
  <c r="E14" i="2" l="1"/>
  <c r="E13" i="2"/>
  <c r="E12" i="2"/>
  <c r="E11" i="2"/>
  <c r="E10" i="2"/>
  <c r="E9" i="2"/>
  <c r="E8" i="2"/>
  <c r="E7" i="2"/>
  <c r="E6" i="2"/>
  <c r="E5" i="2"/>
  <c r="E4" i="2"/>
  <c r="I18" i="1" l="1"/>
  <c r="B24" i="1"/>
  <c r="C23" i="1" l="1"/>
  <c r="D23" i="1" s="1"/>
  <c r="E23" i="1"/>
  <c r="I23" i="1" s="1"/>
  <c r="Y23" i="1"/>
  <c r="Z23" i="1"/>
  <c r="C22" i="1"/>
  <c r="E22" i="1"/>
  <c r="I22" i="1" s="1"/>
  <c r="Y22" i="1"/>
  <c r="Z22" i="1"/>
  <c r="C21" i="1"/>
  <c r="I21" i="1"/>
  <c r="Y21" i="1"/>
  <c r="Z21" i="1"/>
  <c r="I20" i="1"/>
  <c r="Y20" i="1"/>
  <c r="Z20" i="1"/>
  <c r="C19" i="1"/>
  <c r="F19" i="1" s="1"/>
  <c r="L19" i="1" s="1"/>
  <c r="Y19" i="1"/>
  <c r="Z19" i="1"/>
  <c r="C18" i="1"/>
  <c r="W18" i="1"/>
  <c r="Y18" i="1"/>
  <c r="Z18" i="1"/>
  <c r="F23" i="1" l="1"/>
  <c r="L23" i="1" s="1"/>
  <c r="Z24" i="1"/>
  <c r="Y24" i="1"/>
  <c r="I19" i="1"/>
  <c r="I24" i="1" s="1"/>
  <c r="K19" i="1"/>
  <c r="J19" i="1"/>
  <c r="W22" i="1"/>
  <c r="W20" i="1"/>
  <c r="W21" i="1"/>
  <c r="W23" i="1"/>
  <c r="F21" i="1"/>
  <c r="L21" i="1" s="1"/>
  <c r="F20" i="1"/>
  <c r="L20" i="1" s="1"/>
  <c r="D22" i="1"/>
  <c r="R23" i="1"/>
  <c r="W19" i="1"/>
  <c r="N23" i="1"/>
  <c r="P19" i="1"/>
  <c r="X19" i="1"/>
  <c r="Q19" i="1"/>
  <c r="M19" i="1"/>
  <c r="S19" i="1"/>
  <c r="O19" i="1"/>
  <c r="N19" i="1"/>
  <c r="R19" i="1"/>
  <c r="P23" i="1"/>
  <c r="X23" i="1"/>
  <c r="O23" i="1"/>
  <c r="S23" i="1" l="1"/>
  <c r="M23" i="1"/>
  <c r="U23" i="1" s="1"/>
  <c r="AL23" i="1" s="1"/>
  <c r="J23" i="1"/>
  <c r="T23" i="1" s="1"/>
  <c r="Q23" i="1"/>
  <c r="K23" i="1"/>
  <c r="F22" i="1"/>
  <c r="L22" i="1" s="1"/>
  <c r="AE19" i="1"/>
  <c r="AF19" i="1" s="1"/>
  <c r="W24" i="1"/>
  <c r="F18" i="1"/>
  <c r="N18" i="1" s="1"/>
  <c r="K20" i="1"/>
  <c r="J20" i="1"/>
  <c r="K21" i="1"/>
  <c r="J21" i="1"/>
  <c r="O20" i="1"/>
  <c r="N20" i="1"/>
  <c r="Q20" i="1"/>
  <c r="P20" i="1"/>
  <c r="Q21" i="1"/>
  <c r="S21" i="1"/>
  <c r="P21" i="1"/>
  <c r="X21" i="1"/>
  <c r="AC21" i="1" s="1"/>
  <c r="N21" i="1"/>
  <c r="M20" i="1"/>
  <c r="X20" i="1"/>
  <c r="AA20" i="1" s="1"/>
  <c r="R20" i="1"/>
  <c r="N22" i="1"/>
  <c r="R21" i="1"/>
  <c r="O21" i="1"/>
  <c r="M21" i="1"/>
  <c r="S20" i="1"/>
  <c r="P22" i="1"/>
  <c r="U19" i="1"/>
  <c r="T19" i="1"/>
  <c r="AA23" i="1"/>
  <c r="AC23" i="1"/>
  <c r="AE23" i="1"/>
  <c r="AF23" i="1" s="1"/>
  <c r="AB23" i="1"/>
  <c r="AA19" i="1"/>
  <c r="AC19" i="1"/>
  <c r="AB19" i="1"/>
  <c r="J22" i="1" l="1"/>
  <c r="T22" i="1" s="1"/>
  <c r="X22" i="1"/>
  <c r="AB22" i="1" s="1"/>
  <c r="O22" i="1"/>
  <c r="U22" i="1" s="1"/>
  <c r="AL22" i="1" s="1"/>
  <c r="K22" i="1"/>
  <c r="M22" i="1"/>
  <c r="Q22" i="1"/>
  <c r="S22" i="1"/>
  <c r="R22" i="1"/>
  <c r="S18" i="1"/>
  <c r="S24" i="1" s="1"/>
  <c r="AL19" i="1"/>
  <c r="X18" i="1"/>
  <c r="AC18" i="1" s="1"/>
  <c r="Q18" i="1"/>
  <c r="M18" i="1"/>
  <c r="M24" i="1" s="1"/>
  <c r="P18" i="1"/>
  <c r="P24" i="1" s="1"/>
  <c r="K18" i="1"/>
  <c r="K24" i="1" s="1"/>
  <c r="O18" i="1"/>
  <c r="R18" i="1"/>
  <c r="L18" i="1"/>
  <c r="L24" i="1" s="1"/>
  <c r="J18" i="1"/>
  <c r="AC20" i="1"/>
  <c r="AB20" i="1"/>
  <c r="N24" i="1"/>
  <c r="T20" i="1"/>
  <c r="U21" i="1"/>
  <c r="AL21" i="1" s="1"/>
  <c r="T21" i="1"/>
  <c r="V21" i="1" s="1"/>
  <c r="AE20" i="1"/>
  <c r="AF20" i="1" s="1"/>
  <c r="U20" i="1"/>
  <c r="AB21" i="1"/>
  <c r="AA21" i="1"/>
  <c r="AE21" i="1"/>
  <c r="AF21" i="1" s="1"/>
  <c r="AA22" i="1"/>
  <c r="AC22" i="1"/>
  <c r="AD19" i="1"/>
  <c r="AG19" i="1" s="1"/>
  <c r="AD23" i="1"/>
  <c r="AG23" i="1" s="1"/>
  <c r="V23" i="1"/>
  <c r="V19" i="1"/>
  <c r="AD20" i="1" l="1"/>
  <c r="AG20" i="1" s="1"/>
  <c r="AL20" i="1"/>
  <c r="AE22" i="1"/>
  <c r="AF22" i="1" s="1"/>
  <c r="O24" i="1"/>
  <c r="Q24" i="1"/>
  <c r="R24" i="1"/>
  <c r="AE18" i="1"/>
  <c r="AF18" i="1" s="1"/>
  <c r="AB18" i="1"/>
  <c r="AB24" i="1" s="1"/>
  <c r="U18" i="1"/>
  <c r="AL18" i="1" s="1"/>
  <c r="AA18" i="1"/>
  <c r="AA24" i="1" s="1"/>
  <c r="X24" i="1"/>
  <c r="T18" i="1"/>
  <c r="T24" i="1" s="1"/>
  <c r="J24" i="1"/>
  <c r="AC24" i="1"/>
  <c r="AQ23" i="1"/>
  <c r="AS23" i="1" s="1"/>
  <c r="AQ21" i="1"/>
  <c r="AS21" i="1" s="1"/>
  <c r="AQ19" i="1"/>
  <c r="AS19" i="1" s="1"/>
  <c r="V20" i="1"/>
  <c r="AD22" i="1"/>
  <c r="AG22" i="1" s="1"/>
  <c r="V22" i="1"/>
  <c r="AD21" i="1"/>
  <c r="AG21" i="1" s="1"/>
  <c r="AL24" i="1" l="1"/>
  <c r="AF24" i="1"/>
  <c r="AD18" i="1"/>
  <c r="AG18" i="1" s="1"/>
  <c r="AG24" i="1" s="1"/>
  <c r="U24" i="1"/>
  <c r="AE24" i="1"/>
  <c r="V18" i="1"/>
  <c r="V24" i="1" s="1"/>
  <c r="AQ20" i="1"/>
  <c r="AS20" i="1" s="1"/>
  <c r="AQ22" i="1"/>
  <c r="AS22" i="1" s="1"/>
  <c r="AQ18" i="1"/>
  <c r="AS18" i="1" s="1"/>
  <c r="AD24" i="1" l="1"/>
  <c r="AQ24" i="1"/>
  <c r="AS24" i="1"/>
</calcChain>
</file>

<file path=xl/comments1.xml><?xml version="1.0" encoding="utf-8"?>
<comments xmlns="http://schemas.openxmlformats.org/spreadsheetml/2006/main">
  <authors>
    <author>Contabilidad</author>
  </authors>
  <commentList>
    <comment ref="C41" author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ISR a Retener en Sueldos y Salarios
Este calculo quedaria igual como se realizaba con anterioridad</t>
        </r>
      </text>
    </comment>
  </commentList>
</comments>
</file>

<file path=xl/sharedStrings.xml><?xml version="1.0" encoding="utf-8"?>
<sst xmlns="http://schemas.openxmlformats.org/spreadsheetml/2006/main" count="82" uniqueCount="76">
  <si>
    <t>Prestaciones de Ley:</t>
  </si>
  <si>
    <t>Días de Aguinaldo</t>
  </si>
  <si>
    <t>Días de Vacaciones</t>
  </si>
  <si>
    <t>Prima de Riesgo</t>
  </si>
  <si>
    <t>F.Integración</t>
  </si>
  <si>
    <t>SDI</t>
  </si>
  <si>
    <t>Días</t>
  </si>
  <si>
    <t>Inc.</t>
  </si>
  <si>
    <t>Aus.</t>
  </si>
  <si>
    <t>C.F.</t>
  </si>
  <si>
    <t>Exc.Pat.</t>
  </si>
  <si>
    <t>Exc. Obr.</t>
  </si>
  <si>
    <t>P.D. Pat.</t>
  </si>
  <si>
    <t>P.D. Obr.</t>
  </si>
  <si>
    <t>G.M.P. Pat.</t>
  </si>
  <si>
    <t>G.M.P. Obr.</t>
  </si>
  <si>
    <t>R.T.</t>
  </si>
  <si>
    <t>I.V. Pat.</t>
  </si>
  <si>
    <t>I.V. Obr</t>
  </si>
  <si>
    <t>G.P.S.</t>
  </si>
  <si>
    <t>Patronal</t>
  </si>
  <si>
    <t>Obrera</t>
  </si>
  <si>
    <t>SubTotal</t>
  </si>
  <si>
    <t>Retiro</t>
  </si>
  <si>
    <t>CyV Patronal</t>
  </si>
  <si>
    <t>CyV Obrera</t>
  </si>
  <si>
    <t>Suma</t>
  </si>
  <si>
    <t>Infonavit</t>
  </si>
  <si>
    <t>SUMA</t>
  </si>
  <si>
    <t>TOTAL</t>
  </si>
  <si>
    <t>EMPLEADO 1</t>
  </si>
  <si>
    <t>EMPLEADO 2</t>
  </si>
  <si>
    <t>EMPLEADO 3</t>
  </si>
  <si>
    <t>EMPLEADO 4</t>
  </si>
  <si>
    <t>EMPLEADO 5</t>
  </si>
  <si>
    <t>EMPLEADO 6</t>
  </si>
  <si>
    <t>Días Laborados</t>
  </si>
  <si>
    <t>Incapacidades</t>
  </si>
  <si>
    <t>Ausentismo</t>
  </si>
  <si>
    <t>% de Prima Vacacional</t>
  </si>
  <si>
    <t>Zona geografica</t>
  </si>
  <si>
    <t>A</t>
  </si>
  <si>
    <t xml:space="preserve">Salario Mínimo </t>
  </si>
  <si>
    <t>UMA 2022</t>
  </si>
  <si>
    <t>IMSS</t>
  </si>
  <si>
    <t>DEDUCCIONES</t>
  </si>
  <si>
    <t>OTRAS</t>
  </si>
  <si>
    <t>DESEADO</t>
  </si>
  <si>
    <t>CÁLCULO DE SUELDO NETO</t>
  </si>
  <si>
    <t xml:space="preserve">SUELDO NETO </t>
  </si>
  <si>
    <t>Límite Inferior</t>
  </si>
  <si>
    <t>Límite Superior</t>
  </si>
  <si>
    <t>Cuota Fija</t>
  </si>
  <si>
    <t>Porcentaje sobre el Exce Lim Inf</t>
  </si>
  <si>
    <t>En adelante</t>
  </si>
  <si>
    <t>TARIFA DE SUBSIDIO</t>
  </si>
  <si>
    <t>Para Ingresos de</t>
  </si>
  <si>
    <t>Hasta Ingresos de</t>
  </si>
  <si>
    <t>Subsidio al empleo</t>
  </si>
  <si>
    <t>TARIFA DE ISR 2022</t>
  </si>
  <si>
    <t>PERCEPCIONES</t>
  </si>
  <si>
    <t>OTROS INGRESOS</t>
  </si>
  <si>
    <t>SUB AL EMPLEO</t>
  </si>
  <si>
    <t>ISR/SA</t>
  </si>
  <si>
    <t>SUELDO BRUTO</t>
  </si>
  <si>
    <t>↓</t>
  </si>
  <si>
    <t>¿Requieres asesoría con la Administración de tu nómina o personal? - Contáctanos:  ventas@greatteam.mx / www.greatteam.mx</t>
  </si>
  <si>
    <t>Base Gravable</t>
  </si>
  <si>
    <t>Limite Inferior</t>
  </si>
  <si>
    <t>Excedente</t>
  </si>
  <si>
    <t>Porcentaje</t>
  </si>
  <si>
    <t>Impuesto Marginal</t>
  </si>
  <si>
    <t>Impuesto</t>
  </si>
  <si>
    <t>Subsidio Empleo</t>
  </si>
  <si>
    <t>IMPUESTO</t>
  </si>
  <si>
    <t>INGRESAR SUELDO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</si>
</sst>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"/>
    <numFmt numFmtId="165" formatCode="0.0000"/>
    <numFmt numFmtId="166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6.95"/>
      <color theme="1"/>
      <name val="Arial"/>
      <family val="2"/>
    </font>
    <font>
      <b/>
      <sz val="7"/>
      <color theme="1"/>
      <name val="Arial"/>
      <family val="2"/>
    </font>
    <font>
      <b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444444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1C3D1"/>
      </left>
      <right style="medium">
        <color rgb="FFC1C3D1"/>
      </right>
      <top style="medium">
        <color rgb="FFC1C3D1"/>
      </top>
      <bottom style="medium">
        <color rgb="FFC1C3D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7" fillId="0" borderId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164" fontId="4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 applyFill="1"/>
    <xf numFmtId="43" fontId="0" fillId="0" borderId="0" xfId="0" applyNumberFormat="1"/>
    <xf numFmtId="2" fontId="0" fillId="0" borderId="0" xfId="0" applyNumberFormat="1"/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44" fontId="11" fillId="3" borderId="14" xfId="2" applyFont="1" applyFill="1" applyBorder="1" applyAlignment="1" applyProtection="1">
      <alignment horizontal="center" vertical="center"/>
    </xf>
    <xf numFmtId="44" fontId="11" fillId="5" borderId="14" xfId="2" applyFont="1" applyFill="1" applyBorder="1" applyAlignment="1" applyProtection="1">
      <alignment horizontal="center" vertical="center"/>
    </xf>
    <xf numFmtId="165" fontId="0" fillId="0" borderId="2" xfId="0" applyNumberFormat="1" applyBorder="1" applyAlignment="1">
      <alignment horizontal="center"/>
    </xf>
    <xf numFmtId="44" fontId="9" fillId="3" borderId="4" xfId="2" applyFont="1" applyFill="1" applyBorder="1" applyAlignment="1" applyProtection="1">
      <alignment horizontal="center" vertical="center"/>
    </xf>
    <xf numFmtId="44" fontId="9" fillId="5" borderId="4" xfId="2" applyFont="1" applyFill="1" applyBorder="1" applyAlignment="1" applyProtection="1">
      <alignment horizontal="center" vertic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0" fillId="0" borderId="0" xfId="0" applyBorder="1"/>
    <xf numFmtId="4" fontId="14" fillId="0" borderId="17" xfId="3" applyNumberFormat="1" applyFont="1" applyBorder="1" applyAlignment="1">
      <alignment horizontal="center" vertical="center" wrapText="1"/>
    </xf>
    <xf numFmtId="4" fontId="14" fillId="0" borderId="18" xfId="3" applyNumberFormat="1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4" fontId="15" fillId="7" borderId="0" xfId="0" applyNumberFormat="1" applyFont="1" applyFill="1" applyAlignment="1">
      <alignment horizontal="center" vertical="center" wrapText="1"/>
    </xf>
    <xf numFmtId="4" fontId="15" fillId="6" borderId="0" xfId="0" applyNumberFormat="1" applyFont="1" applyFill="1" applyAlignment="1">
      <alignment horizontal="center" vertical="center" wrapText="1"/>
    </xf>
    <xf numFmtId="4" fontId="13" fillId="0" borderId="0" xfId="3" applyNumberFormat="1"/>
    <xf numFmtId="166" fontId="13" fillId="0" borderId="0" xfId="3" applyNumberFormat="1"/>
    <xf numFmtId="0" fontId="16" fillId="7" borderId="19" xfId="0" applyFont="1" applyFill="1" applyBorder="1" applyAlignment="1">
      <alignment horizontal="right" vertical="center" wrapText="1"/>
    </xf>
    <xf numFmtId="4" fontId="16" fillId="7" borderId="19" xfId="0" applyNumberFormat="1" applyFont="1" applyFill="1" applyBorder="1" applyAlignment="1">
      <alignment horizontal="right" vertical="center" wrapText="1"/>
    </xf>
    <xf numFmtId="4" fontId="13" fillId="0" borderId="20" xfId="3" applyNumberFormat="1" applyBorder="1"/>
    <xf numFmtId="4" fontId="0" fillId="0" borderId="0" xfId="0" applyNumberFormat="1"/>
    <xf numFmtId="4" fontId="13" fillId="0" borderId="21" xfId="3" applyNumberFormat="1" applyBorder="1"/>
    <xf numFmtId="4" fontId="13" fillId="0" borderId="1" xfId="3" applyNumberFormat="1" applyBorder="1"/>
    <xf numFmtId="4" fontId="13" fillId="0" borderId="22" xfId="3" applyNumberFormat="1" applyBorder="1"/>
    <xf numFmtId="166" fontId="0" fillId="0" borderId="0" xfId="0" applyNumberFormat="1"/>
    <xf numFmtId="0" fontId="12" fillId="3" borderId="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44" fontId="11" fillId="5" borderId="3" xfId="2" applyFont="1" applyFill="1" applyBorder="1" applyAlignment="1" applyProtection="1">
      <alignment horizontal="center" vertical="center"/>
    </xf>
    <xf numFmtId="44" fontId="11" fillId="5" borderId="16" xfId="2" applyFont="1" applyFill="1" applyBorder="1" applyAlignment="1" applyProtection="1">
      <alignment horizontal="center" vertical="center"/>
    </xf>
    <xf numFmtId="44" fontId="11" fillId="5" borderId="23" xfId="2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/>
    </xf>
    <xf numFmtId="44" fontId="9" fillId="5" borderId="14" xfId="2" applyFont="1" applyFill="1" applyBorder="1" applyAlignment="1" applyProtection="1">
      <alignment horizontal="center" vertical="center"/>
    </xf>
    <xf numFmtId="0" fontId="3" fillId="8" borderId="4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4" fontId="17" fillId="0" borderId="0" xfId="4" applyNumberFormat="1"/>
    <xf numFmtId="4" fontId="19" fillId="0" borderId="0" xfId="4" applyNumberFormat="1" applyFont="1"/>
    <xf numFmtId="166" fontId="17" fillId="0" borderId="0" xfId="4" applyNumberFormat="1"/>
    <xf numFmtId="166" fontId="19" fillId="0" borderId="0" xfId="4" applyNumberFormat="1" applyFont="1"/>
    <xf numFmtId="4" fontId="14" fillId="0" borderId="0" xfId="4" applyNumberFormat="1" applyFont="1"/>
    <xf numFmtId="4" fontId="14" fillId="9" borderId="0" xfId="4" applyNumberFormat="1" applyFont="1" applyFill="1"/>
    <xf numFmtId="4" fontId="17" fillId="0" borderId="0" xfId="4" applyNumberFormat="1" applyFont="1"/>
    <xf numFmtId="4" fontId="17" fillId="0" borderId="0" xfId="4" applyNumberFormat="1" applyFont="1" applyFill="1"/>
    <xf numFmtId="4" fontId="17" fillId="10" borderId="0" xfId="4" applyNumberFormat="1" applyFont="1" applyFill="1"/>
    <xf numFmtId="4" fontId="20" fillId="0" borderId="0" xfId="4" applyNumberFormat="1" applyFont="1"/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43" fontId="11" fillId="5" borderId="14" xfId="2" applyNumberFormat="1" applyFont="1" applyFill="1" applyBorder="1" applyAlignment="1" applyProtection="1">
      <alignment horizontal="center" vertical="center"/>
    </xf>
    <xf numFmtId="43" fontId="11" fillId="3" borderId="14" xfId="2" applyNumberFormat="1" applyFont="1" applyFill="1" applyBorder="1" applyAlignment="1" applyProtection="1">
      <alignment horizontal="center" vertical="center"/>
    </xf>
    <xf numFmtId="44" fontId="11" fillId="5" borderId="2" xfId="2" applyFont="1" applyFill="1" applyBorder="1" applyAlignment="1" applyProtection="1">
      <alignment horizontal="center" vertical="center"/>
    </xf>
    <xf numFmtId="43" fontId="8" fillId="5" borderId="2" xfId="1" applyFont="1" applyFill="1" applyBorder="1"/>
    <xf numFmtId="43" fontId="0" fillId="5" borderId="2" xfId="1" applyFont="1" applyFill="1" applyBorder="1"/>
    <xf numFmtId="0" fontId="12" fillId="5" borderId="0" xfId="0" applyFont="1" applyFill="1" applyBorder="1" applyAlignment="1">
      <alignment horizontal="center" vertical="center" wrapText="1"/>
    </xf>
    <xf numFmtId="44" fontId="11" fillId="5" borderId="24" xfId="2" applyFont="1" applyFill="1" applyBorder="1" applyAlignment="1" applyProtection="1">
      <alignment horizontal="center" vertical="center"/>
    </xf>
    <xf numFmtId="43" fontId="8" fillId="5" borderId="24" xfId="1" applyFont="1" applyFill="1" applyBorder="1"/>
    <xf numFmtId="43" fontId="0" fillId="5" borderId="24" xfId="1" applyFont="1" applyFill="1" applyBorder="1"/>
    <xf numFmtId="0" fontId="12" fillId="5" borderId="25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44" fontId="11" fillId="5" borderId="17" xfId="2" applyFont="1" applyFill="1" applyBorder="1" applyAlignment="1" applyProtection="1">
      <alignment horizontal="center" vertical="center"/>
    </xf>
    <xf numFmtId="43" fontId="8" fillId="5" borderId="17" xfId="1" applyFont="1" applyFill="1" applyBorder="1"/>
    <xf numFmtId="43" fontId="0" fillId="5" borderId="17" xfId="1" applyFont="1" applyFill="1" applyBorder="1"/>
  </cellXfs>
  <cellStyles count="6">
    <cellStyle name="Millares" xfId="1" builtinId="3"/>
    <cellStyle name="Millares 4" xfId="5"/>
    <cellStyle name="Moneda" xfId="2" builtinId="4"/>
    <cellStyle name="Normal" xfId="0" builtinId="0"/>
    <cellStyle name="Normal 18" xfId="3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895350</xdr:colOff>
      <xdr:row>0</xdr:row>
      <xdr:rowOff>57150</xdr:rowOff>
    </xdr:from>
    <xdr:to>
      <xdr:col>37</xdr:col>
      <xdr:colOff>351542</xdr:colOff>
      <xdr:row>4</xdr:row>
      <xdr:rowOff>32830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A02686A-708A-4A07-BD15-1CC9A42B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57150"/>
          <a:ext cx="2999492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7"/>
  <sheetViews>
    <sheetView showGridLines="0" tabSelected="1" zoomScale="90" zoomScaleNormal="90" workbookViewId="0">
      <selection activeCell="AS24" sqref="AS24"/>
    </sheetView>
  </sheetViews>
  <sheetFormatPr baseColWidth="10" defaultRowHeight="15" x14ac:dyDescent="0.25"/>
  <cols>
    <col min="1" max="1" width="17.7109375" customWidth="1"/>
    <col min="2" max="2" width="20.140625" customWidth="1"/>
    <col min="3" max="3" width="13.85546875" hidden="1" customWidth="1"/>
    <col min="4" max="4" width="13.42578125" customWidth="1"/>
    <col min="5" max="5" width="10.28515625" hidden="1" customWidth="1"/>
    <col min="6" max="6" width="11.42578125" hidden="1" customWidth="1"/>
    <col min="7" max="7" width="15.5703125" customWidth="1"/>
    <col min="8" max="8" width="12.140625" customWidth="1"/>
    <col min="9" max="24" width="11.42578125" hidden="1" customWidth="1"/>
    <col min="25" max="25" width="6.7109375" hidden="1" customWidth="1"/>
    <col min="26" max="26" width="6.5703125" hidden="1" customWidth="1"/>
    <col min="27" max="32" width="11.42578125" hidden="1" customWidth="1"/>
    <col min="33" max="33" width="9.85546875" hidden="1" customWidth="1"/>
    <col min="34" max="35" width="16.85546875" customWidth="1"/>
    <col min="36" max="36" width="16.28515625" customWidth="1"/>
    <col min="37" max="37" width="3.140625" customWidth="1"/>
    <col min="38" max="38" width="14.5703125" customWidth="1"/>
    <col min="39" max="40" width="14.5703125" hidden="1" customWidth="1"/>
    <col min="41" max="42" width="16.28515625" customWidth="1"/>
    <col min="43" max="43" width="18.140625" customWidth="1"/>
    <col min="44" max="44" width="2.5703125" customWidth="1"/>
    <col min="45" max="45" width="17.85546875" bestFit="1" customWidth="1"/>
  </cols>
  <sheetData>
    <row r="1" spans="2:45" s="20" customFormat="1" x14ac:dyDescent="0.25"/>
    <row r="2" spans="2:45" s="20" customFormat="1" x14ac:dyDescent="0.25"/>
    <row r="3" spans="2:45" s="20" customFormat="1" x14ac:dyDescent="0.25"/>
    <row r="4" spans="2:45" s="20" customFormat="1" x14ac:dyDescent="0.25"/>
    <row r="5" spans="2:45" s="20" customFormat="1" ht="15.75" thickBot="1" x14ac:dyDescent="0.3"/>
    <row r="6" spans="2:45" ht="15" customHeight="1" x14ac:dyDescent="0.25">
      <c r="B6" s="67" t="s">
        <v>48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9"/>
    </row>
    <row r="7" spans="2:45" ht="15.75" customHeight="1" thickBot="1" x14ac:dyDescent="0.3"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2"/>
    </row>
    <row r="8" spans="2:45" s="10" customFormat="1" ht="15.75" customHeight="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2:45" x14ac:dyDescent="0.25">
      <c r="AO9" s="1" t="s">
        <v>0</v>
      </c>
      <c r="AP9" s="1"/>
    </row>
    <row r="10" spans="2:45" x14ac:dyDescent="0.25">
      <c r="G10" s="17" t="s">
        <v>40</v>
      </c>
      <c r="H10" s="18" t="s">
        <v>41</v>
      </c>
      <c r="AO10" s="2">
        <v>15</v>
      </c>
      <c r="AP10" s="1" t="s">
        <v>1</v>
      </c>
    </row>
    <row r="11" spans="2:45" x14ac:dyDescent="0.25">
      <c r="G11" s="17" t="s">
        <v>43</v>
      </c>
      <c r="H11" s="18">
        <v>96.22</v>
      </c>
      <c r="I11" s="1"/>
      <c r="J11" s="1"/>
      <c r="K11" s="3"/>
      <c r="L11" s="1"/>
      <c r="N11" s="4"/>
      <c r="O11" s="1"/>
      <c r="AO11" s="2">
        <v>6</v>
      </c>
      <c r="AP11" s="1" t="s">
        <v>2</v>
      </c>
    </row>
    <row r="12" spans="2:45" x14ac:dyDescent="0.25">
      <c r="G12" s="17" t="s">
        <v>42</v>
      </c>
      <c r="H12" s="19">
        <v>172.87</v>
      </c>
      <c r="I12" s="1"/>
      <c r="J12" s="1"/>
      <c r="K12" s="3"/>
      <c r="L12" s="1"/>
      <c r="N12" s="4"/>
      <c r="O12" s="1"/>
      <c r="AO12" s="2">
        <v>25</v>
      </c>
      <c r="AP12" s="1" t="s">
        <v>39</v>
      </c>
    </row>
    <row r="13" spans="2:45" ht="20.25" customHeight="1" thickBot="1" x14ac:dyDescent="0.3">
      <c r="G13" s="1"/>
      <c r="H13" s="3"/>
      <c r="I13" s="1"/>
      <c r="J13" s="1"/>
      <c r="K13" s="3"/>
      <c r="L13" s="1"/>
      <c r="N13" s="4"/>
      <c r="O13" s="1"/>
      <c r="AO13" s="5">
        <v>0.5</v>
      </c>
      <c r="AP13" s="1" t="s">
        <v>3</v>
      </c>
    </row>
    <row r="14" spans="2:45" ht="31.5" customHeight="1" thickBot="1" x14ac:dyDescent="0.3">
      <c r="B14" s="52" t="s">
        <v>75</v>
      </c>
      <c r="G14" s="1"/>
      <c r="H14" s="3"/>
      <c r="I14" s="1"/>
      <c r="J14" s="1"/>
      <c r="K14" s="3"/>
      <c r="L14" s="1"/>
      <c r="N14" s="4"/>
      <c r="O14" s="1"/>
      <c r="AO14" s="50"/>
      <c r="AP14" s="1"/>
    </row>
    <row r="15" spans="2:45" ht="20.25" customHeight="1" thickBot="1" x14ac:dyDescent="0.3">
      <c r="B15" s="53" t="s">
        <v>65</v>
      </c>
      <c r="G15" s="1"/>
      <c r="H15" s="3"/>
      <c r="I15" s="1"/>
      <c r="J15" s="1"/>
      <c r="K15" s="3"/>
      <c r="L15" s="1"/>
      <c r="N15" s="4"/>
      <c r="O15" s="1"/>
      <c r="AO15" s="50"/>
      <c r="AP15" s="1"/>
    </row>
    <row r="16" spans="2:45" ht="15.75" thickBot="1" x14ac:dyDescent="0.3">
      <c r="B16" s="73" t="s">
        <v>60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5"/>
      <c r="AL16" s="64" t="s">
        <v>45</v>
      </c>
      <c r="AM16" s="65"/>
      <c r="AN16" s="65"/>
      <c r="AO16" s="65"/>
      <c r="AP16" s="65"/>
      <c r="AQ16" s="66"/>
      <c r="AS16" s="38" t="s">
        <v>49</v>
      </c>
    </row>
    <row r="17" spans="1:45" ht="24.75" customHeight="1" thickBot="1" x14ac:dyDescent="0.3">
      <c r="B17" s="40" t="s">
        <v>64</v>
      </c>
      <c r="C17" s="84" t="s">
        <v>4</v>
      </c>
      <c r="D17" s="88" t="s">
        <v>5</v>
      </c>
      <c r="E17" s="89" t="s">
        <v>36</v>
      </c>
      <c r="F17" s="89" t="s">
        <v>5</v>
      </c>
      <c r="G17" s="89" t="s">
        <v>37</v>
      </c>
      <c r="H17" s="90" t="s">
        <v>38</v>
      </c>
      <c r="I17" s="41" t="s">
        <v>9</v>
      </c>
      <c r="J17" s="41" t="s">
        <v>10</v>
      </c>
      <c r="K17" s="41" t="s">
        <v>11</v>
      </c>
      <c r="L17" s="41" t="s">
        <v>12</v>
      </c>
      <c r="M17" s="41" t="s">
        <v>13</v>
      </c>
      <c r="N17" s="41" t="s">
        <v>14</v>
      </c>
      <c r="O17" s="41" t="s">
        <v>15</v>
      </c>
      <c r="P17" s="41" t="s">
        <v>16</v>
      </c>
      <c r="Q17" s="41" t="s">
        <v>17</v>
      </c>
      <c r="R17" s="41" t="s">
        <v>18</v>
      </c>
      <c r="S17" s="41" t="s">
        <v>19</v>
      </c>
      <c r="T17" s="41" t="s">
        <v>20</v>
      </c>
      <c r="U17" s="41" t="s">
        <v>21</v>
      </c>
      <c r="V17" s="42" t="s">
        <v>22</v>
      </c>
      <c r="W17" s="43" t="s">
        <v>6</v>
      </c>
      <c r="X17" s="44" t="s">
        <v>5</v>
      </c>
      <c r="Y17" s="44" t="s">
        <v>7</v>
      </c>
      <c r="Z17" s="44" t="s">
        <v>8</v>
      </c>
      <c r="AA17" s="44" t="s">
        <v>23</v>
      </c>
      <c r="AB17" s="44" t="s">
        <v>24</v>
      </c>
      <c r="AC17" s="44" t="s">
        <v>25</v>
      </c>
      <c r="AD17" s="44" t="s">
        <v>26</v>
      </c>
      <c r="AE17" s="44" t="s">
        <v>27</v>
      </c>
      <c r="AF17" s="44" t="s">
        <v>28</v>
      </c>
      <c r="AG17" s="45" t="s">
        <v>29</v>
      </c>
      <c r="AH17" s="40" t="s">
        <v>61</v>
      </c>
      <c r="AI17" s="40" t="s">
        <v>62</v>
      </c>
      <c r="AJ17" s="40" t="s">
        <v>29</v>
      </c>
      <c r="AK17" s="6"/>
      <c r="AL17" s="37" t="s">
        <v>44</v>
      </c>
      <c r="AM17" s="37"/>
      <c r="AN17" s="37"/>
      <c r="AO17" s="37" t="s">
        <v>63</v>
      </c>
      <c r="AP17" s="37" t="s">
        <v>46</v>
      </c>
      <c r="AQ17" s="37" t="s">
        <v>29</v>
      </c>
      <c r="AS17" s="39" t="s">
        <v>47</v>
      </c>
    </row>
    <row r="18" spans="1:45" ht="18.75" x14ac:dyDescent="0.25">
      <c r="A18" s="46" t="s">
        <v>30</v>
      </c>
      <c r="B18" s="13">
        <v>8000</v>
      </c>
      <c r="C18" s="14">
        <f t="shared" ref="C18:C23" si="0">AO$10/365+((AO$11/365)*AO$12)/100+1</f>
        <v>1.0452054794520549</v>
      </c>
      <c r="D18" s="85">
        <f t="shared" ref="D18" si="1">ROUND(B18/30*C18,2)</f>
        <v>278.72000000000003</v>
      </c>
      <c r="E18" s="86">
        <f t="shared" ref="E18:E23" si="2">365/12</f>
        <v>30.416666666666668</v>
      </c>
      <c r="F18" s="87">
        <f>+D18</f>
        <v>278.72000000000003</v>
      </c>
      <c r="G18" s="87">
        <v>0</v>
      </c>
      <c r="H18" s="87">
        <v>0</v>
      </c>
      <c r="I18" s="7">
        <f t="shared" ref="I18:I23" si="3">IF(B18&gt;0,(96.22*(E18-G18)*20.4%))</f>
        <v>597.04509999999993</v>
      </c>
      <c r="J18" s="7">
        <f t="shared" ref="J18:J23" si="4">IF(F18-(96.22*3)&lt;0,0,((F18-(96.22*3))*(E18-G18))*1.1%)</f>
        <v>0</v>
      </c>
      <c r="K18" s="7">
        <f t="shared" ref="K18:K23" si="5">IF(F18-(96.22*3)&lt;0,0,((F18-(96.22*3))*(E18-G18)*0.4%))</f>
        <v>0</v>
      </c>
      <c r="L18" s="7">
        <f t="shared" ref="L18:L23" si="6">(F18*(E18-G18))*0.7%</f>
        <v>59.344133333333339</v>
      </c>
      <c r="M18" s="7">
        <f>(F18*(E18-G18))*0.25%</f>
        <v>21.19433333333334</v>
      </c>
      <c r="N18" s="7">
        <f>(F18*(E18-G18))*1.05%</f>
        <v>89.016200000000026</v>
      </c>
      <c r="O18" s="7">
        <f>(F18*(E18-G18))*0.375%</f>
        <v>31.791500000000006</v>
      </c>
      <c r="P18" s="7">
        <f t="shared" ref="P18:P23" si="7">(F18*(E18-G18-H18)*AO$13%)</f>
        <v>42.38866666666668</v>
      </c>
      <c r="Q18" s="7">
        <f>(F18*(E18-H18-G18))*1.75%</f>
        <v>148.36033333333339</v>
      </c>
      <c r="R18" s="7">
        <f>(F18*(E18-H18-G18))*0.625%</f>
        <v>52.985833333333346</v>
      </c>
      <c r="S18" s="7">
        <f>(F18*(E18-G18-H18))*1%</f>
        <v>84.77733333333336</v>
      </c>
      <c r="T18" s="7">
        <f>+I18+J18+L18+N18+P18+Q18+S18</f>
        <v>1020.9317666666668</v>
      </c>
      <c r="U18" s="7">
        <f>+K18+M18+O18+R18</f>
        <v>105.97166666666669</v>
      </c>
      <c r="V18" s="7">
        <f>+T18+U18</f>
        <v>1126.9034333333334</v>
      </c>
      <c r="W18" s="8">
        <f>+E18</f>
        <v>30.416666666666668</v>
      </c>
      <c r="X18" s="8">
        <f>+F18</f>
        <v>278.72000000000003</v>
      </c>
      <c r="Y18" s="8">
        <f>+G18</f>
        <v>0</v>
      </c>
      <c r="Z18" s="8">
        <f>+H18</f>
        <v>0</v>
      </c>
      <c r="AA18" s="7">
        <f>((X18*W18)*2%)</f>
        <v>169.55466666666672</v>
      </c>
      <c r="AB18" s="9">
        <f>(X18*(W18-Y18-Z18))*3.15%</f>
        <v>267.04860000000008</v>
      </c>
      <c r="AC18" s="9">
        <f>(X18*(W18-Y18-Z18))*1.125%</f>
        <v>95.374500000000026</v>
      </c>
      <c r="AD18" s="7">
        <f>+AA18+AB18+AC18</f>
        <v>531.97776666666687</v>
      </c>
      <c r="AE18" s="7">
        <f>(W18*X18)*5%</f>
        <v>423.88666666666677</v>
      </c>
      <c r="AF18" s="8">
        <f>+AE18</f>
        <v>423.88666666666677</v>
      </c>
      <c r="AG18" s="8">
        <f>+AD18+AF18</f>
        <v>955.86443333333364</v>
      </c>
      <c r="AH18" s="13"/>
      <c r="AI18" s="79">
        <f>IF(AN18-AM18&gt;0,AN18-AM18,0)</f>
        <v>0</v>
      </c>
      <c r="AJ18" s="13">
        <f>+B18+AH18+AN18</f>
        <v>8000</v>
      </c>
      <c r="AK18" s="7"/>
      <c r="AL18" s="12">
        <f>IF(D18&lt;=180.68,"0",SUM(U18+AC18))</f>
        <v>201.3461666666667</v>
      </c>
      <c r="AM18" s="80">
        <f>IF((B18+AH18=0),0,ROUND(((B18+AH18-VLOOKUP(B18+AH18,'ISR MENS 2022'!B$4:E$14,1))*(VLOOKUP(B18+AH18,'ISR MENS 2022'!B$4:E$14,4)))+(VLOOKUP(B18+AH18,'ISR MENS 2022'!B$4:E$14,3)),2))</f>
        <v>596.41999999999996</v>
      </c>
      <c r="AN18" s="80">
        <f>IF(($B18+AH18=0),0,ROUND(VLOOKUP($B18+AH18,'ISR MENS 2022'!B$19:D$29,3),2))</f>
        <v>0</v>
      </c>
      <c r="AO18" s="80">
        <f>IF(AM18-AN18&gt;0,AM18-AN18,0)</f>
        <v>596.41999999999996</v>
      </c>
      <c r="AP18" s="12"/>
      <c r="AQ18" s="12">
        <f>SUM(AL18:AP18)</f>
        <v>1394.1861666666666</v>
      </c>
      <c r="AS18" s="13">
        <f>+AJ18-AQ18</f>
        <v>6605.8138333333336</v>
      </c>
    </row>
    <row r="19" spans="1:45" ht="18.75" x14ac:dyDescent="0.25">
      <c r="A19" s="13" t="s">
        <v>31</v>
      </c>
      <c r="B19" s="13">
        <v>8000</v>
      </c>
      <c r="C19" s="14">
        <f t="shared" si="0"/>
        <v>1.0452054794520549</v>
      </c>
      <c r="D19" s="81">
        <f t="shared" ref="D19:D21" si="8">ROUND(B19/30*C19,2)</f>
        <v>278.72000000000003</v>
      </c>
      <c r="E19" s="82">
        <f t="shared" si="2"/>
        <v>30.416666666666668</v>
      </c>
      <c r="F19" s="83">
        <f t="shared" ref="F19:F23" si="9">+D19</f>
        <v>278.72000000000003</v>
      </c>
      <c r="G19" s="83">
        <v>0</v>
      </c>
      <c r="H19" s="83">
        <v>0</v>
      </c>
      <c r="I19" s="7">
        <f t="shared" si="3"/>
        <v>597.04509999999993</v>
      </c>
      <c r="J19" s="7">
        <f t="shared" si="4"/>
        <v>0</v>
      </c>
      <c r="K19" s="7">
        <f t="shared" si="5"/>
        <v>0</v>
      </c>
      <c r="L19" s="7">
        <f t="shared" si="6"/>
        <v>59.344133333333339</v>
      </c>
      <c r="M19" s="7">
        <f t="shared" ref="M19:M23" si="10">(F19*(E19-G19))*0.25%</f>
        <v>21.19433333333334</v>
      </c>
      <c r="N19" s="7">
        <f t="shared" ref="N19:N23" si="11">(F19*(E19-G19))*1.05%</f>
        <v>89.016200000000026</v>
      </c>
      <c r="O19" s="7">
        <f t="shared" ref="O19:O23" si="12">(F19*(E19-G19))*0.375%</f>
        <v>31.791500000000006</v>
      </c>
      <c r="P19" s="7">
        <f t="shared" si="7"/>
        <v>42.38866666666668</v>
      </c>
      <c r="Q19" s="7">
        <f t="shared" ref="Q19:Q23" si="13">(F19*(E19-H19-G19))*1.75%</f>
        <v>148.36033333333339</v>
      </c>
      <c r="R19" s="7">
        <f t="shared" ref="R19:R23" si="14">(F19*(E19-H19-G19))*0.625%</f>
        <v>52.985833333333346</v>
      </c>
      <c r="S19" s="7">
        <f t="shared" ref="S19:S23" si="15">(F19*(E19-G19-H19))*1%</f>
        <v>84.77733333333336</v>
      </c>
      <c r="T19" s="7">
        <f t="shared" ref="T19:T23" si="16">+I19+J19+L19+N19+P19+Q19+S19</f>
        <v>1020.9317666666668</v>
      </c>
      <c r="U19" s="7">
        <f t="shared" ref="U19:U23" si="17">+K19+M19+O19+R19</f>
        <v>105.97166666666669</v>
      </c>
      <c r="V19" s="7">
        <f t="shared" ref="V19:V23" si="18">+T19+U19</f>
        <v>1126.9034333333334</v>
      </c>
      <c r="W19" s="8">
        <f t="shared" ref="W19:Z23" si="19">+E19</f>
        <v>30.416666666666668</v>
      </c>
      <c r="X19" s="8">
        <f t="shared" si="19"/>
        <v>278.72000000000003</v>
      </c>
      <c r="Y19" s="8">
        <f t="shared" si="19"/>
        <v>0</v>
      </c>
      <c r="Z19" s="8">
        <f t="shared" si="19"/>
        <v>0</v>
      </c>
      <c r="AA19" s="7">
        <f t="shared" ref="AA19:AA23" si="20">((X19*W19)*2%)</f>
        <v>169.55466666666672</v>
      </c>
      <c r="AB19" s="9">
        <f t="shared" ref="AB19:AB23" si="21">(X19*(W19-Y19-Z19))*3.15%</f>
        <v>267.04860000000008</v>
      </c>
      <c r="AC19" s="9">
        <f t="shared" ref="AC19:AC23" si="22">(X19*(W19-Y19-Z19))*1.125%</f>
        <v>95.374500000000026</v>
      </c>
      <c r="AD19" s="7">
        <f t="shared" ref="AD19:AD23" si="23">+AA19+AB19+AC19</f>
        <v>531.97776666666687</v>
      </c>
      <c r="AE19" s="7">
        <f>(W19*X19)*5%</f>
        <v>423.88666666666677</v>
      </c>
      <c r="AF19" s="8">
        <f t="shared" ref="AF19:AF23" si="24">+AE19</f>
        <v>423.88666666666677</v>
      </c>
      <c r="AG19" s="8">
        <f t="shared" ref="AG19:AG23" si="25">+AD19+AF19</f>
        <v>955.86443333333364</v>
      </c>
      <c r="AH19" s="13"/>
      <c r="AI19" s="79">
        <f t="shared" ref="AI19:AI23" si="26">IF(AN19-AM19&gt;0,AN19-AM19,0)</f>
        <v>0</v>
      </c>
      <c r="AJ19" s="13">
        <f t="shared" ref="AJ19:AJ23" si="27">+B19+AH19+AI19</f>
        <v>8000</v>
      </c>
      <c r="AL19" s="12">
        <f>IF(D19&lt;=180.68,"0",SUM(U19+AC19))</f>
        <v>201.3461666666667</v>
      </c>
      <c r="AM19" s="80">
        <f>IF((B19+AH19=0),0,ROUND(((B19+AH19-VLOOKUP(B19+AH19,'ISR MENS 2022'!B$4:E$14,1))*(VLOOKUP(B19+AH19,'ISR MENS 2022'!B$4:E$14,4)))+(VLOOKUP(B19+AH19,'ISR MENS 2022'!B$4:E$14,3)),2))</f>
        <v>596.41999999999996</v>
      </c>
      <c r="AN19" s="80">
        <f>IF(($B19+AH19=0),0,ROUND(VLOOKUP($B19+AH19,'ISR MENS 2022'!B$19:D$29,3),2))</f>
        <v>0</v>
      </c>
      <c r="AO19" s="80">
        <f>IF(AM19-AN19&gt;0,AM19-AN19,0)</f>
        <v>596.41999999999996</v>
      </c>
      <c r="AP19" s="12"/>
      <c r="AQ19" s="12">
        <f t="shared" ref="AQ19:AQ23" si="28">SUM(AL19:AP19)</f>
        <v>1394.1861666666666</v>
      </c>
      <c r="AS19" s="13">
        <f t="shared" ref="AS19:AS23" si="29">+AJ19-AQ19</f>
        <v>6605.8138333333336</v>
      </c>
    </row>
    <row r="20" spans="1:45" ht="18.75" x14ac:dyDescent="0.25">
      <c r="A20" s="13" t="s">
        <v>32</v>
      </c>
      <c r="B20" s="13">
        <v>8000</v>
      </c>
      <c r="C20" s="14">
        <f t="shared" si="0"/>
        <v>1.0452054794520549</v>
      </c>
      <c r="D20" s="81">
        <f t="shared" si="8"/>
        <v>278.72000000000003</v>
      </c>
      <c r="E20" s="82">
        <f t="shared" si="2"/>
        <v>30.416666666666668</v>
      </c>
      <c r="F20" s="83">
        <f t="shared" si="9"/>
        <v>278.72000000000003</v>
      </c>
      <c r="G20" s="83">
        <v>0</v>
      </c>
      <c r="H20" s="83">
        <v>0</v>
      </c>
      <c r="I20" s="7">
        <f t="shared" si="3"/>
        <v>597.04509999999993</v>
      </c>
      <c r="J20" s="7">
        <f t="shared" si="4"/>
        <v>0</v>
      </c>
      <c r="K20" s="7">
        <f t="shared" si="5"/>
        <v>0</v>
      </c>
      <c r="L20" s="7">
        <f t="shared" si="6"/>
        <v>59.344133333333339</v>
      </c>
      <c r="M20" s="7">
        <f t="shared" si="10"/>
        <v>21.19433333333334</v>
      </c>
      <c r="N20" s="7">
        <f t="shared" si="11"/>
        <v>89.016200000000026</v>
      </c>
      <c r="O20" s="7">
        <f t="shared" si="12"/>
        <v>31.791500000000006</v>
      </c>
      <c r="P20" s="7">
        <f t="shared" si="7"/>
        <v>42.38866666666668</v>
      </c>
      <c r="Q20" s="7">
        <f t="shared" si="13"/>
        <v>148.36033333333339</v>
      </c>
      <c r="R20" s="7">
        <f t="shared" si="14"/>
        <v>52.985833333333346</v>
      </c>
      <c r="S20" s="7">
        <f t="shared" si="15"/>
        <v>84.77733333333336</v>
      </c>
      <c r="T20" s="7">
        <f t="shared" si="16"/>
        <v>1020.9317666666668</v>
      </c>
      <c r="U20" s="7">
        <f t="shared" si="17"/>
        <v>105.97166666666669</v>
      </c>
      <c r="V20" s="7">
        <f t="shared" si="18"/>
        <v>1126.9034333333334</v>
      </c>
      <c r="W20" s="8">
        <f t="shared" si="19"/>
        <v>30.416666666666668</v>
      </c>
      <c r="X20" s="8">
        <f t="shared" si="19"/>
        <v>278.72000000000003</v>
      </c>
      <c r="Y20" s="8">
        <f t="shared" si="19"/>
        <v>0</v>
      </c>
      <c r="Z20" s="8">
        <f t="shared" si="19"/>
        <v>0</v>
      </c>
      <c r="AA20" s="7">
        <f t="shared" si="20"/>
        <v>169.55466666666672</v>
      </c>
      <c r="AB20" s="9">
        <f t="shared" si="21"/>
        <v>267.04860000000008</v>
      </c>
      <c r="AC20" s="9">
        <f t="shared" si="22"/>
        <v>95.374500000000026</v>
      </c>
      <c r="AD20" s="7">
        <f t="shared" si="23"/>
        <v>531.97776666666687</v>
      </c>
      <c r="AE20" s="7">
        <f t="shared" ref="AE19:AE23" si="30">(W20*X20)*5%</f>
        <v>423.88666666666677</v>
      </c>
      <c r="AF20" s="8">
        <f t="shared" si="24"/>
        <v>423.88666666666677</v>
      </c>
      <c r="AG20" s="8">
        <f t="shared" si="25"/>
        <v>955.86443333333364</v>
      </c>
      <c r="AH20" s="13"/>
      <c r="AI20" s="79">
        <f t="shared" si="26"/>
        <v>0</v>
      </c>
      <c r="AJ20" s="13">
        <f t="shared" si="27"/>
        <v>8000</v>
      </c>
      <c r="AK20" s="9"/>
      <c r="AL20" s="12">
        <f>IF(D20&lt;=180.68,"0",SUM(U20+AC20))</f>
        <v>201.3461666666667</v>
      </c>
      <c r="AM20" s="80">
        <f>IF((B20+AH20=0),0,ROUND(((B20+AH20-VLOOKUP(B20+AH20,'ISR MENS 2022'!B$4:E$14,1))*(VLOOKUP(B20+AH20,'ISR MENS 2022'!B$4:E$14,4)))+(VLOOKUP(B20+AH20,'ISR MENS 2022'!B$4:E$14,3)),2))</f>
        <v>596.41999999999996</v>
      </c>
      <c r="AN20" s="80">
        <f>IF(($B20+AH20=0),0,ROUND(VLOOKUP($B20+AH20,'ISR MENS 2022'!B$19:D$29,3),2))</f>
        <v>0</v>
      </c>
      <c r="AO20" s="80">
        <f t="shared" ref="AO20:AO23" si="31">IF(AM20-AN20&gt;0,AM20-AN20,0)</f>
        <v>596.41999999999996</v>
      </c>
      <c r="AP20" s="12"/>
      <c r="AQ20" s="12">
        <f t="shared" si="28"/>
        <v>1394.1861666666666</v>
      </c>
      <c r="AS20" s="13">
        <f>+AJ20-AQ20</f>
        <v>6605.8138333333336</v>
      </c>
    </row>
    <row r="21" spans="1:45" ht="18.75" x14ac:dyDescent="0.25">
      <c r="A21" s="13" t="s">
        <v>33</v>
      </c>
      <c r="B21" s="13">
        <v>8000</v>
      </c>
      <c r="C21" s="14">
        <f t="shared" si="0"/>
        <v>1.0452054794520549</v>
      </c>
      <c r="D21" s="81">
        <f t="shared" si="8"/>
        <v>278.72000000000003</v>
      </c>
      <c r="E21" s="82">
        <f t="shared" si="2"/>
        <v>30.416666666666668</v>
      </c>
      <c r="F21" s="83">
        <f t="shared" si="9"/>
        <v>278.72000000000003</v>
      </c>
      <c r="G21" s="83">
        <v>0</v>
      </c>
      <c r="H21" s="83">
        <v>0</v>
      </c>
      <c r="I21" s="7">
        <f t="shared" si="3"/>
        <v>597.04509999999993</v>
      </c>
      <c r="J21" s="7">
        <f t="shared" si="4"/>
        <v>0</v>
      </c>
      <c r="K21" s="7">
        <f t="shared" si="5"/>
        <v>0</v>
      </c>
      <c r="L21" s="7">
        <f t="shared" si="6"/>
        <v>59.344133333333339</v>
      </c>
      <c r="M21" s="7">
        <f t="shared" si="10"/>
        <v>21.19433333333334</v>
      </c>
      <c r="N21" s="7">
        <f t="shared" si="11"/>
        <v>89.016200000000026</v>
      </c>
      <c r="O21" s="7">
        <f t="shared" si="12"/>
        <v>31.791500000000006</v>
      </c>
      <c r="P21" s="7">
        <f t="shared" si="7"/>
        <v>42.38866666666668</v>
      </c>
      <c r="Q21" s="7">
        <f t="shared" si="13"/>
        <v>148.36033333333339</v>
      </c>
      <c r="R21" s="7">
        <f t="shared" si="14"/>
        <v>52.985833333333346</v>
      </c>
      <c r="S21" s="7">
        <f t="shared" si="15"/>
        <v>84.77733333333336</v>
      </c>
      <c r="T21" s="7">
        <f t="shared" si="16"/>
        <v>1020.9317666666668</v>
      </c>
      <c r="U21" s="7">
        <f t="shared" si="17"/>
        <v>105.97166666666669</v>
      </c>
      <c r="V21" s="7">
        <f t="shared" si="18"/>
        <v>1126.9034333333334</v>
      </c>
      <c r="W21" s="8">
        <f t="shared" si="19"/>
        <v>30.416666666666668</v>
      </c>
      <c r="X21" s="8">
        <f t="shared" si="19"/>
        <v>278.72000000000003</v>
      </c>
      <c r="Y21" s="8">
        <f t="shared" si="19"/>
        <v>0</v>
      </c>
      <c r="Z21" s="8">
        <f t="shared" si="19"/>
        <v>0</v>
      </c>
      <c r="AA21" s="7">
        <f t="shared" si="20"/>
        <v>169.55466666666672</v>
      </c>
      <c r="AB21" s="9">
        <f t="shared" si="21"/>
        <v>267.04860000000008</v>
      </c>
      <c r="AC21" s="9">
        <f t="shared" si="22"/>
        <v>95.374500000000026</v>
      </c>
      <c r="AD21" s="7">
        <f t="shared" si="23"/>
        <v>531.97776666666687</v>
      </c>
      <c r="AE21" s="7">
        <f t="shared" si="30"/>
        <v>423.88666666666677</v>
      </c>
      <c r="AF21" s="8">
        <f t="shared" si="24"/>
        <v>423.88666666666677</v>
      </c>
      <c r="AG21" s="8">
        <f t="shared" si="25"/>
        <v>955.86443333333364</v>
      </c>
      <c r="AH21" s="13"/>
      <c r="AI21" s="79">
        <f t="shared" si="26"/>
        <v>0</v>
      </c>
      <c r="AJ21" s="13">
        <f t="shared" si="27"/>
        <v>8000</v>
      </c>
      <c r="AK21" s="9"/>
      <c r="AL21" s="12">
        <f>IF(D21&lt;=180.68,"0",SUM(U21+AC21))</f>
        <v>201.3461666666667</v>
      </c>
      <c r="AM21" s="80">
        <f>IF((B21+AH21=0),0,ROUND(((B21+AH21-VLOOKUP(B21+AH21,'ISR MENS 2022'!B$4:E$14,1))*(VLOOKUP(B21+AH21,'ISR MENS 2022'!B$4:E$14,4)))+(VLOOKUP(B21+AH21,'ISR MENS 2022'!B$4:E$14,3)),2))</f>
        <v>596.41999999999996</v>
      </c>
      <c r="AN21" s="80">
        <f>IF(($B21+AH21=0),0,ROUND(VLOOKUP($B21+AH21,'ISR MENS 2022'!B$19:D$29,3),2))</f>
        <v>0</v>
      </c>
      <c r="AO21" s="80">
        <f t="shared" si="31"/>
        <v>596.41999999999996</v>
      </c>
      <c r="AP21" s="12"/>
      <c r="AQ21" s="12">
        <f t="shared" si="28"/>
        <v>1394.1861666666666</v>
      </c>
      <c r="AS21" s="13">
        <f t="shared" si="29"/>
        <v>6605.8138333333336</v>
      </c>
    </row>
    <row r="22" spans="1:45" ht="18.75" x14ac:dyDescent="0.25">
      <c r="A22" s="13" t="s">
        <v>34</v>
      </c>
      <c r="B22" s="13">
        <v>8000</v>
      </c>
      <c r="C22" s="14">
        <f t="shared" si="0"/>
        <v>1.0452054794520549</v>
      </c>
      <c r="D22" s="81">
        <f t="shared" ref="D19:D23" si="32">ROUND(B22/30*C22,2)</f>
        <v>278.72000000000003</v>
      </c>
      <c r="E22" s="82">
        <f t="shared" si="2"/>
        <v>30.416666666666668</v>
      </c>
      <c r="F22" s="83">
        <f t="shared" si="9"/>
        <v>278.72000000000003</v>
      </c>
      <c r="G22" s="83">
        <v>0</v>
      </c>
      <c r="H22" s="83">
        <v>0</v>
      </c>
      <c r="I22" s="7">
        <f t="shared" si="3"/>
        <v>597.04509999999993</v>
      </c>
      <c r="J22" s="7">
        <f t="shared" si="4"/>
        <v>0</v>
      </c>
      <c r="K22" s="7">
        <f t="shared" si="5"/>
        <v>0</v>
      </c>
      <c r="L22" s="7">
        <f t="shared" si="6"/>
        <v>59.344133333333339</v>
      </c>
      <c r="M22" s="7">
        <f t="shared" si="10"/>
        <v>21.19433333333334</v>
      </c>
      <c r="N22" s="7">
        <f t="shared" si="11"/>
        <v>89.016200000000026</v>
      </c>
      <c r="O22" s="7">
        <f t="shared" si="12"/>
        <v>31.791500000000006</v>
      </c>
      <c r="P22" s="7">
        <f t="shared" si="7"/>
        <v>42.38866666666668</v>
      </c>
      <c r="Q22" s="7">
        <f t="shared" si="13"/>
        <v>148.36033333333339</v>
      </c>
      <c r="R22" s="7">
        <f t="shared" si="14"/>
        <v>52.985833333333346</v>
      </c>
      <c r="S22" s="7">
        <f t="shared" si="15"/>
        <v>84.77733333333336</v>
      </c>
      <c r="T22" s="7">
        <f t="shared" si="16"/>
        <v>1020.9317666666668</v>
      </c>
      <c r="U22" s="7">
        <f t="shared" si="17"/>
        <v>105.97166666666669</v>
      </c>
      <c r="V22" s="7">
        <f t="shared" si="18"/>
        <v>1126.9034333333334</v>
      </c>
      <c r="W22" s="8">
        <f t="shared" si="19"/>
        <v>30.416666666666668</v>
      </c>
      <c r="X22" s="8">
        <f t="shared" si="19"/>
        <v>278.72000000000003</v>
      </c>
      <c r="Y22" s="8">
        <f t="shared" si="19"/>
        <v>0</v>
      </c>
      <c r="Z22" s="8">
        <f t="shared" si="19"/>
        <v>0</v>
      </c>
      <c r="AA22" s="7">
        <f t="shared" si="20"/>
        <v>169.55466666666672</v>
      </c>
      <c r="AB22" s="9">
        <f t="shared" si="21"/>
        <v>267.04860000000008</v>
      </c>
      <c r="AC22" s="9">
        <f t="shared" si="22"/>
        <v>95.374500000000026</v>
      </c>
      <c r="AD22" s="7">
        <f t="shared" si="23"/>
        <v>531.97776666666687</v>
      </c>
      <c r="AE22" s="7">
        <f t="shared" si="30"/>
        <v>423.88666666666677</v>
      </c>
      <c r="AF22" s="8">
        <f t="shared" si="24"/>
        <v>423.88666666666677</v>
      </c>
      <c r="AG22" s="8">
        <f t="shared" si="25"/>
        <v>955.86443333333364</v>
      </c>
      <c r="AH22" s="13"/>
      <c r="AI22" s="79">
        <f t="shared" si="26"/>
        <v>0</v>
      </c>
      <c r="AJ22" s="13">
        <f t="shared" si="27"/>
        <v>8000</v>
      </c>
      <c r="AL22" s="12">
        <f>IF(D22&lt;=180.68,"0",SUM(U22+AC22))</f>
        <v>201.3461666666667</v>
      </c>
      <c r="AM22" s="80">
        <f>IF((B22+AH22=0),0,ROUND(((B22+AH22-VLOOKUP(B22+AH22,'ISR MENS 2022'!B$4:E$14,1))*(VLOOKUP(B22+AH22,'ISR MENS 2022'!B$4:E$14,4)))+(VLOOKUP(B22+AH22,'ISR MENS 2022'!B$4:E$14,3)),2))</f>
        <v>596.41999999999996</v>
      </c>
      <c r="AN22" s="80">
        <f>IF(($B22+AH22=0),0,ROUND(VLOOKUP($B22+AH22,'ISR MENS 2022'!B$19:D$29,3),2))</f>
        <v>0</v>
      </c>
      <c r="AO22" s="80">
        <f t="shared" si="31"/>
        <v>596.41999999999996</v>
      </c>
      <c r="AP22" s="12"/>
      <c r="AQ22" s="12">
        <f t="shared" si="28"/>
        <v>1394.1861666666666</v>
      </c>
      <c r="AS22" s="13">
        <f>+AJ22-AQ22</f>
        <v>6605.8138333333336</v>
      </c>
    </row>
    <row r="23" spans="1:45" ht="19.5" thickBot="1" x14ac:dyDescent="0.3">
      <c r="A23" s="47" t="s">
        <v>35</v>
      </c>
      <c r="B23" s="48">
        <v>8000</v>
      </c>
      <c r="C23" s="14">
        <f t="shared" si="0"/>
        <v>1.0452054794520549</v>
      </c>
      <c r="D23" s="91">
        <f t="shared" si="32"/>
        <v>278.72000000000003</v>
      </c>
      <c r="E23" s="92">
        <f t="shared" si="2"/>
        <v>30.416666666666668</v>
      </c>
      <c r="F23" s="93">
        <f t="shared" si="9"/>
        <v>278.72000000000003</v>
      </c>
      <c r="G23" s="93">
        <v>0</v>
      </c>
      <c r="H23" s="93">
        <v>0</v>
      </c>
      <c r="I23" s="7">
        <f t="shared" si="3"/>
        <v>597.04509999999993</v>
      </c>
      <c r="J23" s="7">
        <f t="shared" si="4"/>
        <v>0</v>
      </c>
      <c r="K23" s="7">
        <f t="shared" si="5"/>
        <v>0</v>
      </c>
      <c r="L23" s="7">
        <f t="shared" si="6"/>
        <v>59.344133333333339</v>
      </c>
      <c r="M23" s="7">
        <f t="shared" si="10"/>
        <v>21.19433333333334</v>
      </c>
      <c r="N23" s="7">
        <f t="shared" si="11"/>
        <v>89.016200000000026</v>
      </c>
      <c r="O23" s="7">
        <f t="shared" si="12"/>
        <v>31.791500000000006</v>
      </c>
      <c r="P23" s="7">
        <f t="shared" si="7"/>
        <v>42.38866666666668</v>
      </c>
      <c r="Q23" s="7">
        <f t="shared" si="13"/>
        <v>148.36033333333339</v>
      </c>
      <c r="R23" s="7">
        <f t="shared" si="14"/>
        <v>52.985833333333346</v>
      </c>
      <c r="S23" s="7">
        <f t="shared" si="15"/>
        <v>84.77733333333336</v>
      </c>
      <c r="T23" s="7">
        <f t="shared" si="16"/>
        <v>1020.9317666666668</v>
      </c>
      <c r="U23" s="7">
        <f t="shared" si="17"/>
        <v>105.97166666666669</v>
      </c>
      <c r="V23" s="7">
        <f t="shared" si="18"/>
        <v>1126.9034333333334</v>
      </c>
      <c r="W23" s="8">
        <f t="shared" si="19"/>
        <v>30.416666666666668</v>
      </c>
      <c r="X23" s="8">
        <f t="shared" si="19"/>
        <v>278.72000000000003</v>
      </c>
      <c r="Y23" s="8">
        <f t="shared" si="19"/>
        <v>0</v>
      </c>
      <c r="Z23" s="8">
        <f t="shared" si="19"/>
        <v>0</v>
      </c>
      <c r="AA23" s="7">
        <f t="shared" si="20"/>
        <v>169.55466666666672</v>
      </c>
      <c r="AB23" s="9">
        <f t="shared" si="21"/>
        <v>267.04860000000008</v>
      </c>
      <c r="AC23" s="9">
        <f t="shared" si="22"/>
        <v>95.374500000000026</v>
      </c>
      <c r="AD23" s="7">
        <f t="shared" si="23"/>
        <v>531.97776666666687</v>
      </c>
      <c r="AE23" s="7">
        <f t="shared" si="30"/>
        <v>423.88666666666677</v>
      </c>
      <c r="AF23" s="8">
        <f t="shared" si="24"/>
        <v>423.88666666666677</v>
      </c>
      <c r="AG23" s="8">
        <f t="shared" si="25"/>
        <v>955.86443333333364</v>
      </c>
      <c r="AH23" s="13"/>
      <c r="AI23" s="79">
        <f t="shared" si="26"/>
        <v>0</v>
      </c>
      <c r="AJ23" s="13">
        <f t="shared" si="27"/>
        <v>8000</v>
      </c>
      <c r="AL23" s="12">
        <f>IF(D23&lt;=180.68,"0",SUM(U23+AC23))</f>
        <v>201.3461666666667</v>
      </c>
      <c r="AM23" s="80">
        <f>IF((B23+AH23=0),0,ROUND(((B23+AH23-VLOOKUP(B23+AH23,'ISR MENS 2022'!B$4:E$14,1))*(VLOOKUP(B23+AH23,'ISR MENS 2022'!B$4:E$14,4)))+(VLOOKUP(B23+AH23,'ISR MENS 2022'!B$4:E$14,3)),2))</f>
        <v>596.41999999999996</v>
      </c>
      <c r="AN23" s="80">
        <f>IF(($B23+AH23=0),0,ROUND(VLOOKUP($B23+AH23,'ISR MENS 2022'!B$19:D$29,3),2))</f>
        <v>0</v>
      </c>
      <c r="AO23" s="80">
        <f t="shared" si="31"/>
        <v>596.41999999999996</v>
      </c>
      <c r="AP23" s="12"/>
      <c r="AQ23" s="12">
        <f t="shared" si="28"/>
        <v>1394.1861666666666</v>
      </c>
      <c r="AS23" s="13">
        <f t="shared" si="29"/>
        <v>6605.8138333333336</v>
      </c>
    </row>
    <row r="24" spans="1:45" ht="19.5" thickBot="1" x14ac:dyDescent="0.3">
      <c r="A24" s="49"/>
      <c r="B24" s="16">
        <f>SUM(B18:B23)</f>
        <v>48000</v>
      </c>
      <c r="C24" s="51"/>
      <c r="D24" s="16"/>
      <c r="E24" s="16"/>
      <c r="F24" s="16"/>
      <c r="G24" s="16">
        <f t="shared" ref="C24:AJ24" si="33">SUM(G18:G23)</f>
        <v>0</v>
      </c>
      <c r="H24" s="16">
        <f t="shared" si="33"/>
        <v>0</v>
      </c>
      <c r="I24" s="51">
        <f t="shared" si="33"/>
        <v>3582.2705999999994</v>
      </c>
      <c r="J24" s="51">
        <f t="shared" si="33"/>
        <v>0</v>
      </c>
      <c r="K24" s="51">
        <f t="shared" si="33"/>
        <v>0</v>
      </c>
      <c r="L24" s="51">
        <f t="shared" si="33"/>
        <v>356.06480000000005</v>
      </c>
      <c r="M24" s="51">
        <f t="shared" si="33"/>
        <v>127.16600000000003</v>
      </c>
      <c r="N24" s="51">
        <f t="shared" si="33"/>
        <v>534.09720000000016</v>
      </c>
      <c r="O24" s="51">
        <f t="shared" si="33"/>
        <v>190.74900000000005</v>
      </c>
      <c r="P24" s="51">
        <f t="shared" si="33"/>
        <v>254.33200000000005</v>
      </c>
      <c r="Q24" s="51">
        <f t="shared" si="33"/>
        <v>890.16200000000038</v>
      </c>
      <c r="R24" s="51">
        <f t="shared" si="33"/>
        <v>317.91500000000008</v>
      </c>
      <c r="S24" s="51">
        <f t="shared" si="33"/>
        <v>508.6640000000001</v>
      </c>
      <c r="T24" s="51">
        <f t="shared" si="33"/>
        <v>6125.5906000000004</v>
      </c>
      <c r="U24" s="51">
        <f t="shared" si="33"/>
        <v>635.83000000000015</v>
      </c>
      <c r="V24" s="51">
        <f t="shared" si="33"/>
        <v>6761.4205999999995</v>
      </c>
      <c r="W24" s="51">
        <f t="shared" si="33"/>
        <v>182.5</v>
      </c>
      <c r="X24" s="51">
        <f t="shared" si="33"/>
        <v>1672.3200000000002</v>
      </c>
      <c r="Y24" s="51">
        <f t="shared" si="33"/>
        <v>0</v>
      </c>
      <c r="Z24" s="51">
        <f t="shared" si="33"/>
        <v>0</v>
      </c>
      <c r="AA24" s="51">
        <f t="shared" si="33"/>
        <v>1017.3280000000002</v>
      </c>
      <c r="AB24" s="51">
        <f t="shared" si="33"/>
        <v>1602.2916000000005</v>
      </c>
      <c r="AC24" s="51">
        <f t="shared" si="33"/>
        <v>572.24700000000018</v>
      </c>
      <c r="AD24" s="51">
        <f t="shared" si="33"/>
        <v>3191.8666000000012</v>
      </c>
      <c r="AE24" s="51">
        <f t="shared" si="33"/>
        <v>2543.3200000000006</v>
      </c>
      <c r="AF24" s="51">
        <f t="shared" si="33"/>
        <v>2543.3200000000006</v>
      </c>
      <c r="AG24" s="51">
        <f t="shared" si="33"/>
        <v>5735.1866000000027</v>
      </c>
      <c r="AH24" s="16">
        <f t="shared" si="33"/>
        <v>0</v>
      </c>
      <c r="AI24" s="16">
        <f t="shared" si="33"/>
        <v>0</v>
      </c>
      <c r="AJ24" s="16">
        <f t="shared" si="33"/>
        <v>48000</v>
      </c>
      <c r="AL24" s="15">
        <f>SUM(AL18:AL23)</f>
        <v>1208.0770000000002</v>
      </c>
      <c r="AM24" s="15"/>
      <c r="AN24" s="15"/>
      <c r="AO24" s="15">
        <f t="shared" ref="AO24:AS24" si="34">SUM(AO18:AO23)</f>
        <v>3578.52</v>
      </c>
      <c r="AP24" s="15">
        <f t="shared" si="34"/>
        <v>0</v>
      </c>
      <c r="AQ24" s="15">
        <f t="shared" si="34"/>
        <v>8365.1170000000002</v>
      </c>
      <c r="AS24" s="16">
        <f t="shared" si="34"/>
        <v>39634.883000000002</v>
      </c>
    </row>
    <row r="26" spans="1:45" ht="15.75" thickBot="1" x14ac:dyDescent="0.3"/>
    <row r="27" spans="1:45" ht="51.95" customHeight="1" thickBot="1" x14ac:dyDescent="0.3">
      <c r="A27" s="76" t="s">
        <v>66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8"/>
    </row>
  </sheetData>
  <sheetProtection password="DDDE" sheet="1" objects="1" scenarios="1"/>
  <protectedRanges>
    <protectedRange sqref="B18:B23" name="Rango1"/>
    <protectedRange sqref="AS18:AS23" name="Rango2"/>
  </protectedRanges>
  <mergeCells count="4">
    <mergeCell ref="AL16:AQ16"/>
    <mergeCell ref="B16:AJ16"/>
    <mergeCell ref="A27:AS27"/>
    <mergeCell ref="B6:AS7"/>
  </mergeCells>
  <pageMargins left="0.70866141732283472" right="0.70866141732283472" top="0.74803149606299213" bottom="0.74803149606299213" header="0.31496062992125984" footer="0.31496062992125984"/>
  <pageSetup scale="74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2"/>
  <sheetViews>
    <sheetView topLeftCell="A13" workbookViewId="0">
      <selection activeCell="C34" sqref="C34"/>
    </sheetView>
  </sheetViews>
  <sheetFormatPr baseColWidth="10" defaultRowHeight="15" x14ac:dyDescent="0.25"/>
  <cols>
    <col min="2" max="2" width="16.85546875" customWidth="1"/>
    <col min="3" max="3" width="16.5703125" bestFit="1" customWidth="1"/>
    <col min="11" max="11" width="14.140625" customWidth="1"/>
    <col min="12" max="12" width="8.42578125" customWidth="1"/>
    <col min="13" max="13" width="11.42578125" style="32"/>
    <col min="14" max="14" width="12.7109375" bestFit="1" customWidth="1"/>
    <col min="15" max="16" width="11.42578125" style="32"/>
  </cols>
  <sheetData>
    <row r="1" spans="2:5" x14ac:dyDescent="0.25">
      <c r="B1" t="s">
        <v>59</v>
      </c>
    </row>
    <row r="3" spans="2:5" ht="51" x14ac:dyDescent="0.25">
      <c r="B3" s="21" t="s">
        <v>50</v>
      </c>
      <c r="C3" s="22" t="s">
        <v>51</v>
      </c>
      <c r="D3" s="22" t="s">
        <v>52</v>
      </c>
      <c r="E3" s="22" t="s">
        <v>53</v>
      </c>
    </row>
    <row r="4" spans="2:5" x14ac:dyDescent="0.25">
      <c r="B4" s="23">
        <v>0.01</v>
      </c>
      <c r="C4" s="23">
        <v>644.58000000000004</v>
      </c>
      <c r="D4" s="23">
        <v>0</v>
      </c>
      <c r="E4" s="23">
        <f>1.92/100</f>
        <v>1.9199999999999998E-2</v>
      </c>
    </row>
    <row r="5" spans="2:5" x14ac:dyDescent="0.25">
      <c r="B5" s="24">
        <v>644.59</v>
      </c>
      <c r="C5" s="25">
        <v>5470.92</v>
      </c>
      <c r="D5" s="24">
        <v>12.38</v>
      </c>
      <c r="E5" s="24">
        <f>6.4/100</f>
        <v>6.4000000000000001E-2</v>
      </c>
    </row>
    <row r="6" spans="2:5" x14ac:dyDescent="0.25">
      <c r="B6" s="26">
        <v>5470.93</v>
      </c>
      <c r="C6" s="26">
        <v>9614.66</v>
      </c>
      <c r="D6" s="23">
        <v>321.26</v>
      </c>
      <c r="E6" s="23">
        <f>10.88/100</f>
        <v>0.10880000000000001</v>
      </c>
    </row>
    <row r="7" spans="2:5" x14ac:dyDescent="0.25">
      <c r="B7" s="25">
        <v>9614.67</v>
      </c>
      <c r="C7" s="25">
        <v>11176.62</v>
      </c>
      <c r="D7" s="24">
        <v>772.1</v>
      </c>
      <c r="E7" s="24">
        <f>16/100</f>
        <v>0.16</v>
      </c>
    </row>
    <row r="8" spans="2:5" x14ac:dyDescent="0.25">
      <c r="B8" s="26">
        <v>11176.63</v>
      </c>
      <c r="C8" s="26">
        <v>13381.47</v>
      </c>
      <c r="D8" s="26">
        <v>1022.01</v>
      </c>
      <c r="E8" s="23">
        <f>17.92/100</f>
        <v>0.17920000000000003</v>
      </c>
    </row>
    <row r="9" spans="2:5" x14ac:dyDescent="0.25">
      <c r="B9" s="25">
        <v>13381.48</v>
      </c>
      <c r="C9" s="25">
        <v>26988.5</v>
      </c>
      <c r="D9" s="25">
        <v>1417.12</v>
      </c>
      <c r="E9" s="24">
        <f>21.36/100</f>
        <v>0.21359999999999998</v>
      </c>
    </row>
    <row r="10" spans="2:5" x14ac:dyDescent="0.25">
      <c r="B10" s="26">
        <v>26988.51</v>
      </c>
      <c r="C10" s="26">
        <v>42537.58</v>
      </c>
      <c r="D10" s="26">
        <v>4323.58</v>
      </c>
      <c r="E10" s="23">
        <f>23.52/100</f>
        <v>0.23519999999999999</v>
      </c>
    </row>
    <row r="11" spans="2:5" x14ac:dyDescent="0.25">
      <c r="B11" s="25">
        <v>42537.59</v>
      </c>
      <c r="C11" s="25">
        <v>81211.25</v>
      </c>
      <c r="D11" s="25">
        <v>7980.73</v>
      </c>
      <c r="E11" s="24">
        <f>30/100</f>
        <v>0.3</v>
      </c>
    </row>
    <row r="12" spans="2:5" x14ac:dyDescent="0.25">
      <c r="B12" s="26">
        <v>81211.259999999995</v>
      </c>
      <c r="C12" s="26">
        <v>108281.67</v>
      </c>
      <c r="D12" s="26">
        <v>19582.830000000002</v>
      </c>
      <c r="E12" s="23">
        <f>32/100</f>
        <v>0.32</v>
      </c>
    </row>
    <row r="13" spans="2:5" x14ac:dyDescent="0.25">
      <c r="B13" s="25">
        <v>108281.68</v>
      </c>
      <c r="C13" s="25">
        <v>324845.01</v>
      </c>
      <c r="D13" s="25">
        <v>28245.360000000001</v>
      </c>
      <c r="E13" s="24">
        <f>34/100</f>
        <v>0.34</v>
      </c>
    </row>
    <row r="14" spans="2:5" x14ac:dyDescent="0.25">
      <c r="B14" s="26">
        <v>324845.02</v>
      </c>
      <c r="C14" s="23" t="s">
        <v>54</v>
      </c>
      <c r="D14" s="26">
        <v>101876.9</v>
      </c>
      <c r="E14" s="23">
        <f>35/100</f>
        <v>0.35</v>
      </c>
    </row>
    <row r="15" spans="2:5" x14ac:dyDescent="0.25">
      <c r="B15" s="27"/>
      <c r="C15" s="27"/>
      <c r="D15" s="27"/>
      <c r="E15" s="28"/>
    </row>
    <row r="16" spans="2:5" x14ac:dyDescent="0.25">
      <c r="B16" t="s">
        <v>55</v>
      </c>
    </row>
    <row r="18" spans="2:6" ht="26.25" thickBot="1" x14ac:dyDescent="0.3">
      <c r="B18" s="21" t="s">
        <v>56</v>
      </c>
      <c r="C18" s="22" t="s">
        <v>57</v>
      </c>
      <c r="D18" s="22" t="s">
        <v>58</v>
      </c>
    </row>
    <row r="19" spans="2:6" ht="15.75" thickBot="1" x14ac:dyDescent="0.3">
      <c r="B19" s="29">
        <v>0.01</v>
      </c>
      <c r="C19" s="30">
        <v>1768.96</v>
      </c>
      <c r="D19" s="29">
        <v>407.02</v>
      </c>
      <c r="E19" s="31"/>
      <c r="F19" s="32"/>
    </row>
    <row r="20" spans="2:6" ht="15.75" thickBot="1" x14ac:dyDescent="0.3">
      <c r="B20" s="30">
        <v>1768.97</v>
      </c>
      <c r="C20" s="30">
        <v>2653.38</v>
      </c>
      <c r="D20" s="29">
        <v>406.83</v>
      </c>
      <c r="E20" s="31"/>
      <c r="F20" s="32"/>
    </row>
    <row r="21" spans="2:6" ht="15.75" thickBot="1" x14ac:dyDescent="0.3">
      <c r="B21" s="30">
        <v>2653.39</v>
      </c>
      <c r="C21" s="30">
        <v>3472.84</v>
      </c>
      <c r="D21" s="29">
        <v>406.62</v>
      </c>
      <c r="E21" s="31"/>
      <c r="F21" s="32"/>
    </row>
    <row r="22" spans="2:6" ht="15.75" thickBot="1" x14ac:dyDescent="0.3">
      <c r="B22" s="30">
        <v>3472.85</v>
      </c>
      <c r="C22" s="30">
        <v>3537.87</v>
      </c>
      <c r="D22" s="29">
        <v>392.77</v>
      </c>
      <c r="E22" s="31"/>
      <c r="F22" s="32"/>
    </row>
    <row r="23" spans="2:6" ht="15.75" thickBot="1" x14ac:dyDescent="0.3">
      <c r="B23" s="30">
        <v>3537.88</v>
      </c>
      <c r="C23" s="30">
        <v>4446.1499999999996</v>
      </c>
      <c r="D23" s="29">
        <v>382.46</v>
      </c>
      <c r="E23" s="31"/>
      <c r="F23" s="32"/>
    </row>
    <row r="24" spans="2:6" ht="15.75" thickBot="1" x14ac:dyDescent="0.3">
      <c r="B24" s="30">
        <v>4446.16</v>
      </c>
      <c r="C24" s="30">
        <v>4717.18</v>
      </c>
      <c r="D24" s="29">
        <v>354.23</v>
      </c>
      <c r="E24" s="31"/>
      <c r="F24" s="32"/>
    </row>
    <row r="25" spans="2:6" ht="15.75" thickBot="1" x14ac:dyDescent="0.3">
      <c r="B25" s="30">
        <v>4717.1899999999996</v>
      </c>
      <c r="C25" s="30">
        <v>5335.42</v>
      </c>
      <c r="D25" s="29">
        <v>324.87</v>
      </c>
      <c r="E25" s="31"/>
      <c r="F25" s="32"/>
    </row>
    <row r="26" spans="2:6" ht="15.75" thickBot="1" x14ac:dyDescent="0.3">
      <c r="B26" s="30">
        <v>5335.43</v>
      </c>
      <c r="C26" s="30">
        <v>6224.67</v>
      </c>
      <c r="D26" s="29">
        <v>294.63</v>
      </c>
      <c r="E26" s="31"/>
      <c r="F26" s="32"/>
    </row>
    <row r="27" spans="2:6" ht="15.75" thickBot="1" x14ac:dyDescent="0.3">
      <c r="B27" s="30">
        <v>6224.68</v>
      </c>
      <c r="C27" s="30">
        <v>7113.9</v>
      </c>
      <c r="D27" s="29">
        <v>253.54</v>
      </c>
      <c r="E27" s="31"/>
      <c r="F27" s="32"/>
    </row>
    <row r="28" spans="2:6" ht="15.75" thickBot="1" x14ac:dyDescent="0.3">
      <c r="B28" s="30">
        <v>7113.91</v>
      </c>
      <c r="C28" s="30">
        <v>7382.33</v>
      </c>
      <c r="D28" s="29">
        <v>217.61</v>
      </c>
      <c r="E28" s="31"/>
      <c r="F28" s="32"/>
    </row>
    <row r="29" spans="2:6" ht="15.75" thickBot="1" x14ac:dyDescent="0.3">
      <c r="B29" s="30">
        <v>7382.34</v>
      </c>
      <c r="C29" s="29" t="s">
        <v>54</v>
      </c>
      <c r="D29" s="29">
        <v>0</v>
      </c>
      <c r="E29" s="31"/>
      <c r="F29" s="32"/>
    </row>
    <row r="30" spans="2:6" x14ac:dyDescent="0.25">
      <c r="B30" s="33"/>
      <c r="C30" s="34"/>
      <c r="D30" s="35"/>
    </row>
    <row r="33" spans="2:15" s="32" customFormat="1" x14ac:dyDescent="0.25">
      <c r="B33" s="54" t="s">
        <v>67</v>
      </c>
      <c r="C33" s="32">
        <v>8000</v>
      </c>
      <c r="D33"/>
      <c r="E33"/>
      <c r="F33"/>
      <c r="G33"/>
      <c r="H33"/>
      <c r="I33"/>
      <c r="J33"/>
      <c r="K33"/>
      <c r="L33"/>
      <c r="M33"/>
    </row>
    <row r="34" spans="2:15" s="32" customFormat="1" x14ac:dyDescent="0.25">
      <c r="B34" s="54" t="s">
        <v>68</v>
      </c>
      <c r="C34" s="55">
        <f>VLOOKUP(C33,B4:E14,1)</f>
        <v>5470.93</v>
      </c>
      <c r="D34"/>
      <c r="E34"/>
      <c r="F34"/>
      <c r="G34"/>
      <c r="H34"/>
      <c r="I34"/>
      <c r="J34"/>
      <c r="K34"/>
      <c r="L34"/>
      <c r="M34"/>
      <c r="O34" s="36"/>
    </row>
    <row r="35" spans="2:15" x14ac:dyDescent="0.25">
      <c r="B35" s="54" t="s">
        <v>69</v>
      </c>
      <c r="C35" s="55">
        <f>+C33-C34</f>
        <v>2529.0699999999997</v>
      </c>
    </row>
    <row r="36" spans="2:15" s="32" customFormat="1" x14ac:dyDescent="0.25">
      <c r="B36" s="56" t="s">
        <v>70</v>
      </c>
      <c r="C36" s="57">
        <f>VLOOKUP(C33,B4:E14,4)</f>
        <v>0.10880000000000001</v>
      </c>
      <c r="D36"/>
      <c r="E36"/>
      <c r="F36"/>
      <c r="G36"/>
      <c r="H36"/>
      <c r="I36"/>
      <c r="J36"/>
      <c r="K36"/>
      <c r="L36"/>
      <c r="N36"/>
    </row>
    <row r="37" spans="2:15" x14ac:dyDescent="0.25">
      <c r="B37" s="54" t="s">
        <v>71</v>
      </c>
      <c r="C37" s="58">
        <f>+C35*C36</f>
        <v>275.16281599999996</v>
      </c>
    </row>
    <row r="38" spans="2:15" x14ac:dyDescent="0.25">
      <c r="B38" s="54" t="s">
        <v>52</v>
      </c>
      <c r="C38" s="55">
        <f>VLOOKUP(C33,B4:E14,3)</f>
        <v>321.26</v>
      </c>
    </row>
    <row r="39" spans="2:15" x14ac:dyDescent="0.25">
      <c r="B39" s="54" t="s">
        <v>72</v>
      </c>
      <c r="C39" s="59">
        <f>+C37+C38</f>
        <v>596.42281600000001</v>
      </c>
    </row>
    <row r="40" spans="2:15" x14ac:dyDescent="0.25">
      <c r="B40" s="60" t="s">
        <v>73</v>
      </c>
      <c r="C40" s="57">
        <f>VLOOKUP(C33,B19:D29,3)</f>
        <v>0</v>
      </c>
    </row>
    <row r="41" spans="2:15" x14ac:dyDescent="0.25">
      <c r="B41" s="61" t="s">
        <v>74</v>
      </c>
      <c r="C41" s="62">
        <f>+C39-C40</f>
        <v>596.42281600000001</v>
      </c>
    </row>
    <row r="42" spans="2:15" ht="15.75" x14ac:dyDescent="0.25">
      <c r="C42" s="63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SUELDO NETO</vt:lpstr>
      <vt:lpstr>ISR MENS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VAZQUEZ</dc:creator>
  <cp:lastModifiedBy>Claudia Romo Salinas</cp:lastModifiedBy>
  <cp:lastPrinted>2021-01-22T16:45:01Z</cp:lastPrinted>
  <dcterms:created xsi:type="dcterms:W3CDTF">2020-08-26T17:36:57Z</dcterms:created>
  <dcterms:modified xsi:type="dcterms:W3CDTF">2022-08-02T21:27:14Z</dcterms:modified>
</cp:coreProperties>
</file>